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roiano\Downloads\"/>
    </mc:Choice>
  </mc:AlternateContent>
  <xr:revisionPtr revIDLastSave="0" documentId="8_{8D7B8E27-C5C2-49E5-8B3C-5FDD712A016B}" xr6:coauthVersionLast="47" xr6:coauthVersionMax="47" xr10:uidLastSave="{00000000-0000-0000-0000-000000000000}"/>
  <bookViews>
    <workbookView xWindow="-120" yWindow="-120" windowWidth="29040" windowHeight="15840" xr2:uid="{445D0066-9B2E-45DB-B161-4E437397F883}"/>
  </bookViews>
  <sheets>
    <sheet name="DCF 12-2-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1" l="1"/>
  <c r="C34" i="1"/>
  <c r="Y15" i="1"/>
  <c r="Y16" i="1"/>
  <c r="Y13" i="1"/>
  <c r="G36" i="1"/>
  <c r="H36" i="1" s="1"/>
  <c r="I36" i="1" s="1"/>
  <c r="J36" i="1" s="1"/>
  <c r="G35" i="1"/>
  <c r="H35" i="1" s="1"/>
  <c r="I35" i="1" s="1"/>
  <c r="J35" i="1" s="1"/>
  <c r="R17" i="1"/>
  <c r="Y18" i="1" s="1"/>
  <c r="R5" i="1"/>
  <c r="M15" i="1"/>
  <c r="M21" i="1" s="1"/>
  <c r="M8" i="1"/>
  <c r="M5" i="1"/>
  <c r="M9" i="1" s="1"/>
  <c r="M19" i="1" s="1"/>
  <c r="F8" i="1"/>
  <c r="F7" i="1"/>
  <c r="G44" i="1"/>
  <c r="D36" i="1"/>
  <c r="E36" i="1"/>
  <c r="E35" i="1"/>
  <c r="D35" i="1"/>
  <c r="D37" i="1"/>
  <c r="E37" i="1"/>
  <c r="D38" i="1"/>
  <c r="E38" i="1"/>
  <c r="C38" i="1"/>
  <c r="C37" i="1"/>
  <c r="C57" i="1"/>
  <c r="C56" i="1"/>
  <c r="E56" i="1"/>
  <c r="D56" i="1"/>
  <c r="E57" i="1"/>
  <c r="D57" i="1"/>
  <c r="D24" i="1"/>
  <c r="E24" i="1"/>
  <c r="D25" i="1"/>
  <c r="E25" i="1"/>
  <c r="D26" i="1"/>
  <c r="E26" i="1"/>
  <c r="C26" i="1"/>
  <c r="C25" i="1"/>
  <c r="C24" i="1"/>
  <c r="D18" i="1"/>
  <c r="E18" i="1"/>
  <c r="D19" i="1"/>
  <c r="E19" i="1"/>
  <c r="D20" i="1"/>
  <c r="E20" i="1"/>
  <c r="D21" i="1"/>
  <c r="E21" i="1"/>
  <c r="C19" i="1"/>
  <c r="C20" i="1"/>
  <c r="C21" i="1"/>
  <c r="C18" i="1"/>
  <c r="D16" i="1"/>
  <c r="E16" i="1"/>
  <c r="C16" i="1"/>
  <c r="C12" i="1"/>
  <c r="C9" i="1"/>
  <c r="D6" i="1"/>
  <c r="E6" i="1" s="1"/>
  <c r="F6" i="1" s="1"/>
  <c r="G6" i="1" s="1"/>
  <c r="H6" i="1" s="1"/>
  <c r="I6" i="1" s="1"/>
  <c r="J6" i="1" s="1"/>
  <c r="J34" i="1" s="1"/>
  <c r="E12" i="1"/>
  <c r="E9" i="1"/>
  <c r="E39" i="1" s="1"/>
  <c r="D12" i="1"/>
  <c r="D9" i="1"/>
  <c r="D39" i="1" s="1"/>
  <c r="H61" i="1" l="1"/>
  <c r="G61" i="1"/>
  <c r="F9" i="1"/>
  <c r="F27" i="1" s="1"/>
  <c r="F59" i="1" s="1"/>
  <c r="F61" i="1"/>
  <c r="J61" i="1"/>
  <c r="I61" i="1"/>
  <c r="D34" i="1"/>
  <c r="E34" i="1"/>
  <c r="F34" i="1"/>
  <c r="G34" i="1"/>
  <c r="H34" i="1"/>
  <c r="I34" i="1"/>
  <c r="D13" i="1"/>
  <c r="D17" i="1" s="1"/>
  <c r="D22" i="1" s="1"/>
  <c r="D23" i="1" s="1"/>
  <c r="F38" i="1"/>
  <c r="G38" i="1" s="1"/>
  <c r="H38" i="1" s="1"/>
  <c r="I38" i="1" s="1"/>
  <c r="J38" i="1" s="1"/>
  <c r="E13" i="1"/>
  <c r="E17" i="1" s="1"/>
  <c r="E22" i="1" s="1"/>
  <c r="E23" i="1" s="1"/>
  <c r="E41" i="1"/>
  <c r="E58" i="1"/>
  <c r="D41" i="1"/>
  <c r="D58" i="1"/>
  <c r="C43" i="1"/>
  <c r="C58" i="1"/>
  <c r="D40" i="1"/>
  <c r="E43" i="1"/>
  <c r="Y14" i="1"/>
  <c r="C41" i="1"/>
  <c r="D43" i="1"/>
  <c r="F37" i="1"/>
  <c r="G37" i="1" s="1"/>
  <c r="H37" i="1" s="1"/>
  <c r="I37" i="1" s="1"/>
  <c r="J37" i="1" s="1"/>
  <c r="G8" i="1"/>
  <c r="G7" i="1"/>
  <c r="M20" i="1"/>
  <c r="M23" i="1" s="1"/>
  <c r="C39" i="1"/>
  <c r="F39" i="1" s="1"/>
  <c r="C40" i="1"/>
  <c r="E42" i="1"/>
  <c r="C42" i="1"/>
  <c r="H44" i="1"/>
  <c r="C13" i="1"/>
  <c r="E40" i="1"/>
  <c r="D42" i="1"/>
  <c r="C17" i="1"/>
  <c r="C22" i="1" s="1"/>
  <c r="C23" i="1" s="1"/>
  <c r="F40" i="1" l="1"/>
  <c r="G40" i="1" s="1"/>
  <c r="H40" i="1" s="1"/>
  <c r="I40" i="1" s="1"/>
  <c r="J40" i="1" s="1"/>
  <c r="F11" i="1"/>
  <c r="E59" i="1"/>
  <c r="D59" i="1"/>
  <c r="D27" i="1" s="1"/>
  <c r="D28" i="1" s="1"/>
  <c r="G11" i="1"/>
  <c r="F43" i="1"/>
  <c r="F25" i="1" s="1"/>
  <c r="F41" i="1"/>
  <c r="F24" i="1" s="1"/>
  <c r="F48" i="1" s="1"/>
  <c r="G9" i="1"/>
  <c r="G15" i="1" s="1"/>
  <c r="F10" i="1"/>
  <c r="F12" i="1" s="1"/>
  <c r="F13" i="1" s="1"/>
  <c r="R8" i="1"/>
  <c r="Y7" i="1" s="1"/>
  <c r="D30" i="1"/>
  <c r="D64" i="1" s="1"/>
  <c r="Y9" i="1"/>
  <c r="H8" i="1"/>
  <c r="I8" i="1" s="1"/>
  <c r="G10" i="1"/>
  <c r="H7" i="1"/>
  <c r="H10" i="1" s="1"/>
  <c r="G39" i="1"/>
  <c r="F14" i="1"/>
  <c r="I44" i="1"/>
  <c r="F18" i="1"/>
  <c r="F42" i="1"/>
  <c r="F15" i="1"/>
  <c r="E27" i="1"/>
  <c r="E28" i="1" s="1"/>
  <c r="E44" i="1"/>
  <c r="G41" i="1" l="1"/>
  <c r="D44" i="1"/>
  <c r="G27" i="1"/>
  <c r="G59" i="1" s="1"/>
  <c r="G43" i="1"/>
  <c r="G25" i="1" s="1"/>
  <c r="G12" i="1"/>
  <c r="G13" i="1" s="1"/>
  <c r="J30" i="1"/>
  <c r="J64" i="1" s="1"/>
  <c r="F30" i="1"/>
  <c r="F64" i="1" s="1"/>
  <c r="I30" i="1"/>
  <c r="I64" i="1" s="1"/>
  <c r="H30" i="1"/>
  <c r="H64" i="1" s="1"/>
  <c r="G30" i="1"/>
  <c r="G64" i="1" s="1"/>
  <c r="H11" i="1"/>
  <c r="H12" i="1" s="1"/>
  <c r="H9" i="1"/>
  <c r="H27" i="1" s="1"/>
  <c r="H59" i="1" s="1"/>
  <c r="I7" i="1"/>
  <c r="I10" i="1" s="1"/>
  <c r="F26" i="1"/>
  <c r="F53" i="1" s="1"/>
  <c r="G42" i="1"/>
  <c r="H39" i="1"/>
  <c r="G14" i="1"/>
  <c r="J44" i="1"/>
  <c r="H43" i="1"/>
  <c r="J8" i="1"/>
  <c r="J11" i="1" s="1"/>
  <c r="I11" i="1"/>
  <c r="F16" i="1"/>
  <c r="F17" i="1" s="1"/>
  <c r="F22" i="1" s="1"/>
  <c r="F23" i="1" s="1"/>
  <c r="H41" i="1"/>
  <c r="G18" i="1"/>
  <c r="G24" i="1"/>
  <c r="G48" i="1" s="1"/>
  <c r="I9" i="1" l="1"/>
  <c r="I15" i="1" s="1"/>
  <c r="H15" i="1"/>
  <c r="H13" i="1"/>
  <c r="I12" i="1"/>
  <c r="J7" i="1"/>
  <c r="J10" i="1" s="1"/>
  <c r="J12" i="1" s="1"/>
  <c r="F28" i="1"/>
  <c r="G16" i="1"/>
  <c r="G17" i="1" s="1"/>
  <c r="G22" i="1" s="1"/>
  <c r="G23" i="1" s="1"/>
  <c r="I41" i="1"/>
  <c r="H18" i="1"/>
  <c r="H24" i="1"/>
  <c r="H48" i="1" s="1"/>
  <c r="I39" i="1"/>
  <c r="H14" i="1"/>
  <c r="H25" i="1"/>
  <c r="I43" i="1"/>
  <c r="H42" i="1"/>
  <c r="G26" i="1"/>
  <c r="G53" i="1" s="1"/>
  <c r="F32" i="1" l="1"/>
  <c r="F66" i="1" s="1"/>
  <c r="F62" i="1"/>
  <c r="I27" i="1"/>
  <c r="I59" i="1" s="1"/>
  <c r="I13" i="1"/>
  <c r="J9" i="1"/>
  <c r="J27" i="1" s="1"/>
  <c r="J59" i="1" s="1"/>
  <c r="H16" i="1"/>
  <c r="H17" i="1" s="1"/>
  <c r="H22" i="1" s="1"/>
  <c r="H23" i="1" s="1"/>
  <c r="G28" i="1"/>
  <c r="I42" i="1"/>
  <c r="H26" i="1"/>
  <c r="H53" i="1" s="1"/>
  <c r="J41" i="1"/>
  <c r="I18" i="1"/>
  <c r="I24" i="1"/>
  <c r="I48" i="1" s="1"/>
  <c r="I25" i="1"/>
  <c r="J43" i="1"/>
  <c r="J39" i="1"/>
  <c r="I14" i="1"/>
  <c r="G32" i="1" l="1"/>
  <c r="G66" i="1" s="1"/>
  <c r="G62" i="1"/>
  <c r="J13" i="1"/>
  <c r="H28" i="1"/>
  <c r="J14" i="1"/>
  <c r="J25" i="1"/>
  <c r="J15" i="1"/>
  <c r="J42" i="1"/>
  <c r="J26" i="1" s="1"/>
  <c r="J53" i="1" s="1"/>
  <c r="I26" i="1"/>
  <c r="I53" i="1" s="1"/>
  <c r="I16" i="1"/>
  <c r="I17" i="1" s="1"/>
  <c r="I22" i="1" s="1"/>
  <c r="I23" i="1" s="1"/>
  <c r="J24" i="1"/>
  <c r="J48" i="1" s="1"/>
  <c r="J18" i="1"/>
  <c r="H32" i="1" l="1"/>
  <c r="H66" i="1" s="1"/>
  <c r="H62" i="1"/>
  <c r="J16" i="1"/>
  <c r="J17" i="1" s="1"/>
  <c r="R6" i="1" s="1"/>
  <c r="R7" i="1" s="1"/>
  <c r="R9" i="1" s="1"/>
  <c r="I28" i="1"/>
  <c r="I32" i="1" l="1"/>
  <c r="I66" i="1" s="1"/>
  <c r="I62" i="1"/>
  <c r="J22" i="1"/>
  <c r="J23" i="1" s="1"/>
  <c r="J28" i="1" s="1"/>
  <c r="J62" i="1" s="1"/>
  <c r="J32" i="1" l="1"/>
  <c r="J66" i="1" s="1"/>
  <c r="Y6" i="1"/>
  <c r="Y8" i="1" s="1"/>
  <c r="Y10" i="1" s="1"/>
  <c r="R10" i="1" l="1"/>
  <c r="R11" i="1" s="1"/>
  <c r="R16" i="1" s="1"/>
  <c r="R18" i="1" s="1"/>
  <c r="Y11" i="1"/>
  <c r="Y12" i="1" s="1"/>
  <c r="Y17" i="1" s="1"/>
  <c r="Y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Troiano, Dean</author>
  </authors>
  <commentList>
    <comment ref="R5" authorId="0" shapeId="0" xr:uid="{14D791BF-09D9-451E-BAA9-5D79FF0F42EA}">
      <text>
        <r>
          <rPr>
            <sz val="9"/>
            <color indexed="81"/>
            <rFont val="Tahoma"/>
            <family val="2"/>
          </rPr>
          <t xml:space="preserve">Industry range multiple of 16.7x-18.9x. The average was used as an exit multiple. </t>
        </r>
      </text>
    </comment>
    <comment ref="M6" authorId="0" shapeId="0" xr:uid="{93C6860F-BFDB-40C9-A5D0-695364A85354}">
      <text>
        <r>
          <rPr>
            <sz val="9"/>
            <color indexed="81"/>
            <rFont val="Tahoma"/>
            <family val="2"/>
          </rPr>
          <t>Share price as of December 3rd, 2022.</t>
        </r>
      </text>
    </comment>
    <comment ref="M12" authorId="0" shapeId="0" xr:uid="{CD095436-3970-48FD-92D8-CDFD6C6A9E84}">
      <text>
        <r>
          <rPr>
            <sz val="9"/>
            <color indexed="81"/>
            <rFont val="Tahoma"/>
            <family val="2"/>
          </rPr>
          <t>General industry standard average market portfolio rate of return.</t>
        </r>
      </text>
    </comment>
    <comment ref="R13" authorId="0" shapeId="0" xr:uid="{6A65F070-ADFC-4834-8B63-33F4C7EC8A98}">
      <text>
        <r>
          <rPr>
            <sz val="9"/>
            <color indexed="81"/>
            <rFont val="Tahoma"/>
            <family val="2"/>
          </rPr>
          <t>Book value of debt, as market value presents a negliable difference with a debt/equity of essentially 0.</t>
        </r>
      </text>
    </comment>
    <comment ref="M14" authorId="0" shapeId="0" xr:uid="{DA042F9E-A83C-4A1F-8FE9-B40B9538D66A}">
      <text>
        <r>
          <rPr>
            <sz val="9"/>
            <color indexed="81"/>
            <rFont val="Tahoma"/>
            <family val="2"/>
          </rPr>
          <t>"Observed" Levered Beta of Apple's covariance of share price versus the variance of the standard market.</t>
        </r>
      </text>
    </comment>
    <comment ref="R18" authorId="0" shapeId="0" xr:uid="{F5CC51E4-94CC-4B58-B2ED-1A1BAA9A2D2F}">
      <text>
        <r>
          <rPr>
            <sz val="9"/>
            <color indexed="81"/>
            <rFont val="Tahoma"/>
            <family val="2"/>
          </rPr>
          <t>"Guess and Check" to arrive at the current trading price, within one dollar.</t>
        </r>
      </text>
    </comment>
    <comment ref="Y19" authorId="0" shapeId="0" xr:uid="{075486B6-D7C8-430C-BBA9-F91938477990}">
      <text>
        <r>
          <rPr>
            <sz val="9"/>
            <color indexed="81"/>
            <rFont val="Tahoma"/>
            <family val="2"/>
          </rPr>
          <t>Apple is an incredibly forward-looking tech company, meaning that the DCF is assumption driven (high Terminal Value).</t>
        </r>
      </text>
    </comment>
    <comment ref="M23" authorId="0" shapeId="0" xr:uid="{DF6CE043-C8B5-4CF4-AA0C-1E170385930C}">
      <text>
        <r>
          <rPr>
            <sz val="9"/>
            <color indexed="81"/>
            <rFont val="Tahoma"/>
            <family val="2"/>
          </rPr>
          <t>Almost completely influenced by the CAPM result, based on Apple's debt/equity ratio.</t>
        </r>
      </text>
    </comment>
  </commentList>
</comments>
</file>

<file path=xl/sharedStrings.xml><?xml version="1.0" encoding="utf-8"?>
<sst xmlns="http://schemas.openxmlformats.org/spreadsheetml/2006/main" count="109" uniqueCount="80">
  <si>
    <t>Product Revenue</t>
  </si>
  <si>
    <t>Services Revenue</t>
  </si>
  <si>
    <t xml:space="preserve">    Total Sales</t>
  </si>
  <si>
    <t>COGS of Products</t>
  </si>
  <si>
    <t>COGS of Services</t>
  </si>
  <si>
    <t xml:space="preserve">    Total COGS</t>
  </si>
  <si>
    <t xml:space="preserve">        Gross Profit</t>
  </si>
  <si>
    <t>Research and Development</t>
  </si>
  <si>
    <t>Selling, General, and Administrative</t>
  </si>
  <si>
    <t xml:space="preserve">    Total Operating Expenses</t>
  </si>
  <si>
    <r>
      <t xml:space="preserve">        </t>
    </r>
    <r>
      <rPr>
        <b/>
        <sz val="11"/>
        <color theme="1"/>
        <rFont val="Book Antiqua"/>
        <family val="1"/>
      </rPr>
      <t>EBITDA</t>
    </r>
  </si>
  <si>
    <t>Balance Sheet Items</t>
  </si>
  <si>
    <t>Cash Flow Items</t>
  </si>
  <si>
    <t>Depreciation &amp; Amortization</t>
  </si>
  <si>
    <t>Share-Based Compensation</t>
  </si>
  <si>
    <t>Deferred Income Taxes</t>
  </si>
  <si>
    <t>Other</t>
  </si>
  <si>
    <r>
      <t xml:space="preserve">        </t>
    </r>
    <r>
      <rPr>
        <b/>
        <sz val="11"/>
        <color theme="1"/>
        <rFont val="Book Antiqua"/>
        <family val="1"/>
      </rPr>
      <t>EBIT</t>
    </r>
  </si>
  <si>
    <t>Income Statement Items</t>
  </si>
  <si>
    <t>EBIT*(1-Tc)</t>
  </si>
  <si>
    <t>Plus: Depreciation &amp; Amortization</t>
  </si>
  <si>
    <t>Plus: Other Non-cash Charges</t>
  </si>
  <si>
    <t>Less: Capital Expenditures</t>
  </si>
  <si>
    <t>Capital Expenditures</t>
  </si>
  <si>
    <t>Less: Change in Net Working Capital</t>
  </si>
  <si>
    <t>Op-Related Current Assets</t>
  </si>
  <si>
    <t>Op-Related Current Liabilities</t>
  </si>
  <si>
    <t xml:space="preserve">    Op-Related Net Working Capital</t>
  </si>
  <si>
    <t xml:space="preserve">    Change in NWC</t>
  </si>
  <si>
    <r>
      <t xml:space="preserve">        </t>
    </r>
    <r>
      <rPr>
        <b/>
        <sz val="11"/>
        <color theme="1"/>
        <rFont val="Book Antiqua"/>
        <family val="1"/>
      </rPr>
      <t>Unlevered Free Cash Flow</t>
    </r>
  </si>
  <si>
    <t>Growth of Product Revenue</t>
  </si>
  <si>
    <t>Growth of Services Revenue</t>
  </si>
  <si>
    <t>Projection Period</t>
  </si>
  <si>
    <t>Historical</t>
  </si>
  <si>
    <t>R &amp; D as of Total Sales</t>
  </si>
  <si>
    <t>S, G, &amp; A as of Total Sales</t>
  </si>
  <si>
    <t>Other Non-Cash Charges</t>
  </si>
  <si>
    <t>Change in NWC</t>
  </si>
  <si>
    <t>Step</t>
  </si>
  <si>
    <t>Total Debt</t>
  </si>
  <si>
    <t>Share Price</t>
  </si>
  <si>
    <t>Fully Diluted Shares</t>
  </si>
  <si>
    <t xml:space="preserve">    Total Equity</t>
  </si>
  <si>
    <t>Debt-to-Total-Cap</t>
  </si>
  <si>
    <t>Capital Asset Pricing Model</t>
  </si>
  <si>
    <t>5-Year Treasury</t>
  </si>
  <si>
    <t>Levered Beta</t>
  </si>
  <si>
    <t xml:space="preserve">    Cost of Equity</t>
  </si>
  <si>
    <t>Debt &amp; Equity</t>
  </si>
  <si>
    <t xml:space="preserve">    Cost of Debt</t>
  </si>
  <si>
    <t>WACC Calculation</t>
  </si>
  <si>
    <t>% Equity</t>
  </si>
  <si>
    <t>WACC</t>
  </si>
  <si>
    <t xml:space="preserve">        WACC</t>
  </si>
  <si>
    <t>Discount Factor</t>
  </si>
  <si>
    <t xml:space="preserve">        Present Value of FCFF</t>
  </si>
  <si>
    <t>Exit Multiple</t>
  </si>
  <si>
    <t>Terminal Year EBITDA</t>
  </si>
  <si>
    <t xml:space="preserve">    Terminal Value</t>
  </si>
  <si>
    <t xml:space="preserve">    PV of Terminal Value</t>
  </si>
  <si>
    <t>Sum of PV FCFF</t>
  </si>
  <si>
    <t>Implied Enterprise Value</t>
  </si>
  <si>
    <t xml:space="preserve">    Plus: Cash</t>
  </si>
  <si>
    <t xml:space="preserve">    Less: Total Debt</t>
  </si>
  <si>
    <t xml:space="preserve">    Less: Preferred Shares</t>
  </si>
  <si>
    <t xml:space="preserve">    Less: NCI</t>
  </si>
  <si>
    <t>Exit Multiple Method</t>
  </si>
  <si>
    <t>Equity Value</t>
  </si>
  <si>
    <t xml:space="preserve">    Fully Diluted Shares</t>
  </si>
  <si>
    <t>Implied Share Price</t>
  </si>
  <si>
    <t>Terminal Growth Method</t>
  </si>
  <si>
    <t>Terminal Growth Rate</t>
  </si>
  <si>
    <t>Terminal Year FCFF</t>
  </si>
  <si>
    <t>(In USD in millions, except per share data)</t>
  </si>
  <si>
    <t>Marginal Tax Rate:</t>
  </si>
  <si>
    <t>Apple Discounted Cash Flow Analysis</t>
  </si>
  <si>
    <t>Driving Assumptions</t>
  </si>
  <si>
    <t>Expected Market Return</t>
  </si>
  <si>
    <t>Future Free Cash Flow Schedule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</si>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</sst>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0\x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u/>
      <sz val="11"/>
      <color theme="1"/>
      <name val="Book Antiqua"/>
      <family val="1"/>
    </font>
    <font>
      <i/>
      <sz val="11"/>
      <color theme="1"/>
      <name val="Book Antiqua"/>
      <family val="1"/>
    </font>
    <font>
      <sz val="9"/>
      <color indexed="81"/>
      <name val="Tahoma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DotDot">
        <color rgb="FFFF0000"/>
      </left>
      <right/>
      <top style="dashDotDot">
        <color rgb="FFFF0000"/>
      </top>
      <bottom/>
      <diagonal/>
    </border>
    <border>
      <left/>
      <right/>
      <top style="dashDotDot">
        <color rgb="FFFF0000"/>
      </top>
      <bottom/>
      <diagonal/>
    </border>
    <border>
      <left style="dashDotDot">
        <color rgb="FFFF0000"/>
      </left>
      <right/>
      <top/>
      <bottom style="dashDotDot">
        <color rgb="FFFF0000"/>
      </bottom>
      <diagonal/>
    </border>
    <border>
      <left/>
      <right/>
      <top/>
      <bottom style="dashDotDot">
        <color rgb="FFFF0000"/>
      </bottom>
      <diagonal/>
    </border>
    <border>
      <left/>
      <right style="dashDotDot">
        <color rgb="FFFF0000"/>
      </right>
      <top style="dashDotDot">
        <color rgb="FFFF0000"/>
      </top>
      <bottom/>
      <diagonal/>
    </border>
    <border>
      <left/>
      <right style="dashDotDot">
        <color rgb="FFFF0000"/>
      </right>
      <top/>
      <bottom style="dashDotDot">
        <color rgb="FFFF0000"/>
      </bottom>
      <diagonal/>
    </border>
    <border>
      <left style="dashDotDot">
        <color rgb="FFFF0000"/>
      </left>
      <right style="medium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1" applyNumberFormat="1" applyFont="1"/>
    <xf numFmtId="164" fontId="3" fillId="0" borderId="0" xfId="1" applyNumberFormat="1" applyFont="1"/>
    <xf numFmtId="0" fontId="4" fillId="0" borderId="0" xfId="0" applyFont="1"/>
    <xf numFmtId="164" fontId="2" fillId="0" borderId="0" xfId="0" applyNumberFormat="1" applyFont="1"/>
    <xf numFmtId="10" fontId="2" fillId="0" borderId="0" xfId="0" applyNumberFormat="1" applyFont="1"/>
    <xf numFmtId="10" fontId="2" fillId="0" borderId="1" xfId="0" applyNumberFormat="1" applyFont="1" applyBorder="1"/>
    <xf numFmtId="0" fontId="2" fillId="2" borderId="0" xfId="0" applyFont="1" applyFill="1"/>
    <xf numFmtId="9" fontId="5" fillId="0" borderId="0" xfId="0" applyNumberFormat="1" applyFont="1"/>
    <xf numFmtId="0" fontId="5" fillId="0" borderId="0" xfId="0" applyFont="1" applyAlignment="1">
      <alignment horizontal="center"/>
    </xf>
    <xf numFmtId="164" fontId="2" fillId="0" borderId="2" xfId="1" applyNumberFormat="1" applyFont="1" applyBorder="1"/>
    <xf numFmtId="164" fontId="2" fillId="2" borderId="0" xfId="1" applyNumberFormat="1" applyFont="1" applyFill="1"/>
    <xf numFmtId="164" fontId="2" fillId="2" borderId="2" xfId="1" applyNumberFormat="1" applyFont="1" applyFill="1" applyBorder="1"/>
    <xf numFmtId="164" fontId="2" fillId="0" borderId="3" xfId="1" applyNumberFormat="1" applyFont="1" applyBorder="1"/>
    <xf numFmtId="164" fontId="2" fillId="0" borderId="0" xfId="1" applyNumberFormat="1" applyFont="1" applyBorder="1"/>
    <xf numFmtId="164" fontId="2" fillId="0" borderId="4" xfId="1" applyNumberFormat="1" applyFont="1" applyBorder="1"/>
    <xf numFmtId="164" fontId="3" fillId="0" borderId="3" xfId="1" applyNumberFormat="1" applyFont="1" applyBorder="1"/>
    <xf numFmtId="164" fontId="3" fillId="0" borderId="0" xfId="1" applyNumberFormat="1" applyFont="1" applyBorder="1"/>
    <xf numFmtId="164" fontId="2" fillId="2" borderId="3" xfId="1" applyNumberFormat="1" applyFont="1" applyFill="1" applyBorder="1"/>
    <xf numFmtId="164" fontId="2" fillId="2" borderId="0" xfId="1" applyNumberFormat="1" applyFont="1" applyFill="1" applyBorder="1"/>
    <xf numFmtId="164" fontId="2" fillId="2" borderId="4" xfId="1" applyNumberFormat="1" applyFont="1" applyFill="1" applyBorder="1"/>
    <xf numFmtId="0" fontId="2" fillId="0" borderId="0" xfId="0" applyFont="1" applyAlignment="1"/>
    <xf numFmtId="0" fontId="2" fillId="0" borderId="7" xfId="0" applyFont="1" applyBorder="1"/>
    <xf numFmtId="10" fontId="2" fillId="0" borderId="8" xfId="0" applyNumberFormat="1" applyFont="1" applyBorder="1"/>
    <xf numFmtId="0" fontId="3" fillId="0" borderId="9" xfId="0" applyFont="1" applyBorder="1"/>
    <xf numFmtId="10" fontId="3" fillId="0" borderId="10" xfId="3" applyNumberFormat="1" applyFont="1" applyBorder="1"/>
    <xf numFmtId="0" fontId="2" fillId="0" borderId="9" xfId="0" applyFont="1" applyBorder="1"/>
    <xf numFmtId="10" fontId="2" fillId="0" borderId="10" xfId="0" applyNumberFormat="1" applyFont="1" applyBorder="1"/>
    <xf numFmtId="164" fontId="2" fillId="0" borderId="8" xfId="1" applyNumberFormat="1" applyFont="1" applyBorder="1"/>
    <xf numFmtId="44" fontId="2" fillId="0" borderId="8" xfId="2" applyFont="1" applyBorder="1"/>
    <xf numFmtId="10" fontId="2" fillId="0" borderId="10" xfId="3" applyNumberFormat="1" applyFont="1" applyBorder="1"/>
    <xf numFmtId="0" fontId="4" fillId="0" borderId="5" xfId="0" applyFont="1" applyBorder="1"/>
    <xf numFmtId="0" fontId="2" fillId="2" borderId="0" xfId="0" applyFont="1" applyFill="1" applyBorder="1"/>
    <xf numFmtId="10" fontId="2" fillId="0" borderId="0" xfId="3" applyNumberFormat="1" applyFont="1" applyBorder="1"/>
    <xf numFmtId="10" fontId="2" fillId="0" borderId="0" xfId="0" applyNumberFormat="1" applyFont="1" applyBorder="1"/>
    <xf numFmtId="0" fontId="2" fillId="2" borderId="12" xfId="0" applyFont="1" applyFill="1" applyBorder="1"/>
    <xf numFmtId="10" fontId="2" fillId="0" borderId="12" xfId="3" applyNumberFormat="1" applyFont="1" applyBorder="1"/>
    <xf numFmtId="10" fontId="2" fillId="0" borderId="12" xfId="0" applyNumberFormat="1" applyFont="1" applyBorder="1"/>
    <xf numFmtId="10" fontId="2" fillId="0" borderId="14" xfId="3" applyNumberFormat="1" applyFont="1" applyBorder="1"/>
    <xf numFmtId="10" fontId="2" fillId="0" borderId="15" xfId="3" applyNumberFormat="1" applyFont="1" applyBorder="1"/>
    <xf numFmtId="164" fontId="2" fillId="0" borderId="14" xfId="1" applyNumberFormat="1" applyFont="1" applyBorder="1"/>
    <xf numFmtId="0" fontId="2" fillId="0" borderId="14" xfId="0" applyFont="1" applyBorder="1"/>
    <xf numFmtId="164" fontId="2" fillId="0" borderId="14" xfId="0" applyNumberFormat="1" applyFont="1" applyBorder="1"/>
    <xf numFmtId="165" fontId="2" fillId="0" borderId="0" xfId="0" applyNumberFormat="1" applyFont="1"/>
    <xf numFmtId="164" fontId="2" fillId="0" borderId="8" xfId="0" applyNumberFormat="1" applyFont="1" applyBorder="1"/>
    <xf numFmtId="43" fontId="2" fillId="0" borderId="8" xfId="0" applyNumberFormat="1" applyFont="1" applyBorder="1"/>
    <xf numFmtId="164" fontId="2" fillId="0" borderId="16" xfId="0" applyNumberFormat="1" applyFont="1" applyBorder="1"/>
    <xf numFmtId="44" fontId="3" fillId="0" borderId="10" xfId="2" applyFont="1" applyBorder="1"/>
    <xf numFmtId="0" fontId="3" fillId="0" borderId="17" xfId="0" applyFont="1" applyBorder="1"/>
    <xf numFmtId="44" fontId="3" fillId="0" borderId="18" xfId="2" applyFont="1" applyBorder="1"/>
    <xf numFmtId="166" fontId="2" fillId="0" borderId="8" xfId="0" applyNumberFormat="1" applyFont="1" applyBorder="1"/>
    <xf numFmtId="10" fontId="2" fillId="0" borderId="8" xfId="3" applyNumberFormat="1" applyFont="1" applyBorder="1"/>
    <xf numFmtId="164" fontId="2" fillId="0" borderId="16" xfId="1" applyNumberFormat="1" applyFont="1" applyBorder="1"/>
    <xf numFmtId="164" fontId="2" fillId="0" borderId="10" xfId="1" applyNumberFormat="1" applyFont="1" applyBorder="1"/>
    <xf numFmtId="0" fontId="2" fillId="0" borderId="19" xfId="0" applyFont="1" applyBorder="1"/>
    <xf numFmtId="10" fontId="2" fillId="0" borderId="16" xfId="0" applyNumberFormat="1" applyFont="1" applyBorder="1"/>
    <xf numFmtId="43" fontId="2" fillId="0" borderId="0" xfId="1" applyFont="1"/>
    <xf numFmtId="0" fontId="5" fillId="0" borderId="0" xfId="0" applyFont="1"/>
    <xf numFmtId="0" fontId="7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0" fontId="2" fillId="0" borderId="20" xfId="0" applyNumberFormat="1" applyFont="1" applyBorder="1"/>
    <xf numFmtId="10" fontId="2" fillId="0" borderId="21" xfId="0" applyNumberFormat="1" applyFont="1" applyBorder="1"/>
    <xf numFmtId="10" fontId="2" fillId="0" borderId="22" xfId="0" applyNumberFormat="1" applyFont="1" applyBorder="1"/>
    <xf numFmtId="10" fontId="2" fillId="0" borderId="23" xfId="0" applyNumberFormat="1" applyFont="1" applyBorder="1"/>
    <xf numFmtId="10" fontId="2" fillId="0" borderId="24" xfId="0" applyNumberFormat="1" applyFont="1" applyBorder="1"/>
    <xf numFmtId="10" fontId="2" fillId="0" borderId="25" xfId="0" applyNumberFormat="1" applyFont="1" applyBorder="1"/>
    <xf numFmtId="10" fontId="2" fillId="0" borderId="26" xfId="0" applyNumberFormat="1" applyFont="1" applyBorder="1"/>
    <xf numFmtId="43" fontId="2" fillId="0" borderId="8" xfId="1" applyFont="1" applyBorder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3" fillId="0" borderId="27" xfId="1" applyNumberFormat="1" applyFont="1" applyBorder="1"/>
    <xf numFmtId="0" fontId="2" fillId="0" borderId="3" xfId="0" applyFont="1" applyBorder="1"/>
    <xf numFmtId="165" fontId="2" fillId="0" borderId="3" xfId="0" applyNumberFormat="1" applyFont="1" applyBorder="1"/>
    <xf numFmtId="164" fontId="2" fillId="0" borderId="0" xfId="1" applyNumberFormat="1" applyFont="1" applyFill="1"/>
    <xf numFmtId="0" fontId="8" fillId="0" borderId="2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2" fillId="0" borderId="0" xfId="0" applyFont="1" applyBorder="1"/>
    <xf numFmtId="164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BFC8D-3BDF-4A7C-B833-A5AE6DE3C027}">
  <sheetPr>
    <tabColor theme="1"/>
    <pageSetUpPr autoPageBreaks="0"/>
  </sheetPr>
  <dimension ref="B2:Y66"/>
  <sheetViews>
    <sheetView showGridLines="0" tabSelected="1" topLeftCell="A37" zoomScale="125" zoomScaleNormal="125" workbookViewId="0">
      <selection activeCell="Q15" sqref="Q15"/>
    </sheetView>
  </sheetViews>
  <sheetFormatPr defaultRowHeight="16.5" x14ac:dyDescent="0.3"/>
  <cols>
    <col min="1" max="1" width="9.140625" style="1"/>
    <col min="2" max="2" width="36.42578125" style="1" bestFit="1" customWidth="1"/>
    <col min="3" max="10" width="12.7109375" style="1" customWidth="1"/>
    <col min="11" max="11" width="10.42578125" style="1" bestFit="1" customWidth="1"/>
    <col min="12" max="12" width="25.140625" style="1" bestFit="1" customWidth="1"/>
    <col min="13" max="13" width="16.5703125" style="1" customWidth="1"/>
    <col min="14" max="14" width="5.28515625" style="1" customWidth="1"/>
    <col min="15" max="15" width="21" style="1" customWidth="1"/>
    <col min="16" max="16" width="16.140625" style="1" bestFit="1" customWidth="1"/>
    <col min="17" max="17" width="25.140625" style="1" bestFit="1" customWidth="1"/>
    <col min="18" max="18" width="14.5703125" style="1" bestFit="1" customWidth="1"/>
    <col min="19" max="19" width="6.28515625" style="1" customWidth="1"/>
    <col min="20" max="20" width="9.140625" style="1"/>
    <col min="21" max="21" width="12.5703125" style="1" customWidth="1"/>
    <col min="22" max="22" width="5.7109375" style="1" customWidth="1"/>
    <col min="23" max="23" width="5.28515625" style="1" customWidth="1"/>
    <col min="24" max="24" width="25.140625" style="1" bestFit="1" customWidth="1"/>
    <col min="25" max="25" width="11.5703125" style="1" bestFit="1" customWidth="1"/>
    <col min="26" max="16384" width="9.140625" style="1"/>
  </cols>
  <sheetData>
    <row r="2" spans="2:25" x14ac:dyDescent="0.3">
      <c r="B2" s="60" t="s">
        <v>75</v>
      </c>
    </row>
    <row r="3" spans="2:25" ht="17.25" thickBot="1" x14ac:dyDescent="0.35">
      <c r="B3" s="59" t="s">
        <v>73</v>
      </c>
      <c r="G3" s="76" t="s">
        <v>74</v>
      </c>
      <c r="H3" s="76"/>
      <c r="I3" s="8">
        <v>0.16</v>
      </c>
    </row>
    <row r="4" spans="2:25" x14ac:dyDescent="0.3">
      <c r="L4" s="74" t="s">
        <v>48</v>
      </c>
      <c r="M4" s="75"/>
      <c r="N4" s="23"/>
      <c r="Q4" s="74" t="s">
        <v>66</v>
      </c>
      <c r="R4" s="75"/>
      <c r="X4" s="74" t="s">
        <v>70</v>
      </c>
      <c r="Y4" s="75"/>
    </row>
    <row r="5" spans="2:25" x14ac:dyDescent="0.3">
      <c r="B5" s="5" t="s">
        <v>18</v>
      </c>
      <c r="C5" s="79" t="s">
        <v>33</v>
      </c>
      <c r="D5" s="79"/>
      <c r="E5" s="79"/>
      <c r="F5" s="77" t="s">
        <v>32</v>
      </c>
      <c r="G5" s="78"/>
      <c r="H5" s="78"/>
      <c r="I5" s="78"/>
      <c r="J5" s="78"/>
      <c r="L5" s="24" t="s">
        <v>39</v>
      </c>
      <c r="M5" s="30">
        <f>11128+9982+98959</f>
        <v>120069</v>
      </c>
      <c r="Q5" s="24" t="s">
        <v>56</v>
      </c>
      <c r="R5" s="52">
        <f>AVERAGE(16.9,18.7)</f>
        <v>17.799999999999997</v>
      </c>
      <c r="X5" s="24" t="s">
        <v>71</v>
      </c>
      <c r="Y5" s="53">
        <v>0.03</v>
      </c>
    </row>
    <row r="6" spans="2:25" x14ac:dyDescent="0.3">
      <c r="C6" s="61">
        <v>2020</v>
      </c>
      <c r="D6" s="61">
        <f>+C6+1</f>
        <v>2021</v>
      </c>
      <c r="E6" s="61">
        <f t="shared" ref="E6:J6" si="0">+D6+1</f>
        <v>2022</v>
      </c>
      <c r="F6" s="62">
        <f t="shared" si="0"/>
        <v>2023</v>
      </c>
      <c r="G6" s="61">
        <f t="shared" si="0"/>
        <v>2024</v>
      </c>
      <c r="H6" s="61">
        <f t="shared" si="0"/>
        <v>2025</v>
      </c>
      <c r="I6" s="61">
        <f t="shared" si="0"/>
        <v>2026</v>
      </c>
      <c r="J6" s="61">
        <f t="shared" si="0"/>
        <v>2027</v>
      </c>
      <c r="L6" s="24" t="s">
        <v>40</v>
      </c>
      <c r="M6" s="31">
        <v>147.81</v>
      </c>
      <c r="Q6" s="24" t="s">
        <v>57</v>
      </c>
      <c r="R6" s="46">
        <f>J17</f>
        <v>172368.71628014857</v>
      </c>
      <c r="X6" s="24" t="s">
        <v>72</v>
      </c>
      <c r="Y6" s="46">
        <f>(1+Y5)*J28</f>
        <v>153645.6846373333</v>
      </c>
    </row>
    <row r="7" spans="2:25" x14ac:dyDescent="0.3">
      <c r="B7" s="1" t="s">
        <v>0</v>
      </c>
      <c r="C7" s="3">
        <v>220747</v>
      </c>
      <c r="D7" s="3">
        <v>297392</v>
      </c>
      <c r="E7" s="3">
        <v>316199</v>
      </c>
      <c r="F7" s="15">
        <f t="shared" ref="F7:J8" si="1">E7*(1+F35)</f>
        <v>350980.89</v>
      </c>
      <c r="G7" s="16">
        <f t="shared" si="1"/>
        <v>379059.36120000004</v>
      </c>
      <c r="H7" s="16">
        <f t="shared" si="1"/>
        <v>398012.32926000009</v>
      </c>
      <c r="I7" s="16">
        <f t="shared" si="1"/>
        <v>409952.69913780008</v>
      </c>
      <c r="J7" s="16">
        <f t="shared" si="1"/>
        <v>422251.28011193412</v>
      </c>
      <c r="L7" s="24" t="s">
        <v>41</v>
      </c>
      <c r="M7" s="30">
        <v>16325819</v>
      </c>
      <c r="Q7" s="24" t="s">
        <v>58</v>
      </c>
      <c r="R7" s="30">
        <f>R6*R5</f>
        <v>3068163.1497866441</v>
      </c>
      <c r="X7" s="24" t="s">
        <v>52</v>
      </c>
      <c r="Y7" s="53">
        <f>R8</f>
        <v>9.0832470740914786E-2</v>
      </c>
    </row>
    <row r="8" spans="2:25" x14ac:dyDescent="0.3">
      <c r="B8" s="1" t="s">
        <v>1</v>
      </c>
      <c r="C8" s="3">
        <v>52768</v>
      </c>
      <c r="D8" s="3">
        <v>68425</v>
      </c>
      <c r="E8" s="3">
        <v>78129</v>
      </c>
      <c r="F8" s="15">
        <f t="shared" si="1"/>
        <v>89067.060000000012</v>
      </c>
      <c r="G8" s="16">
        <f t="shared" si="1"/>
        <v>98864.436600000015</v>
      </c>
      <c r="H8" s="16">
        <f t="shared" si="1"/>
        <v>106773.59152800002</v>
      </c>
      <c r="I8" s="16">
        <f t="shared" si="1"/>
        <v>112112.27110440003</v>
      </c>
      <c r="J8" s="16">
        <f t="shared" si="1"/>
        <v>115475.63923753203</v>
      </c>
      <c r="L8" s="24" t="s">
        <v>42</v>
      </c>
      <c r="M8" s="30">
        <f>M7*M6</f>
        <v>2413119306.3899999</v>
      </c>
      <c r="Q8" s="24" t="s">
        <v>52</v>
      </c>
      <c r="R8" s="25">
        <f>M23</f>
        <v>9.0832470740914786E-2</v>
      </c>
      <c r="X8" s="24" t="s">
        <v>58</v>
      </c>
      <c r="Y8" s="30">
        <f>Y6/(Y7-Y5)</f>
        <v>2525718.3008677973</v>
      </c>
    </row>
    <row r="9" spans="2:25" ht="17.25" thickBot="1" x14ac:dyDescent="0.35">
      <c r="B9" s="1" t="s">
        <v>2</v>
      </c>
      <c r="C9" s="3">
        <f>SUM(C7:C8)</f>
        <v>273515</v>
      </c>
      <c r="D9" s="3">
        <f>SUM(D7:D8)</f>
        <v>365817</v>
      </c>
      <c r="E9" s="3">
        <f t="shared" ref="E9:J9" si="2">SUM(E7:E8)</f>
        <v>394328</v>
      </c>
      <c r="F9" s="15">
        <f t="shared" si="2"/>
        <v>440047.95</v>
      </c>
      <c r="G9" s="16">
        <f t="shared" si="2"/>
        <v>477923.79780000006</v>
      </c>
      <c r="H9" s="16">
        <f t="shared" si="2"/>
        <v>504785.9207880001</v>
      </c>
      <c r="I9" s="16">
        <f t="shared" si="2"/>
        <v>522064.97024220013</v>
      </c>
      <c r="J9" s="16">
        <f t="shared" si="2"/>
        <v>537726.9193494661</v>
      </c>
      <c r="L9" s="28" t="s">
        <v>43</v>
      </c>
      <c r="M9" s="32">
        <f>M5/SUM(M8,M5)</f>
        <v>4.9754285142391163E-5</v>
      </c>
      <c r="Q9" s="24" t="s">
        <v>59</v>
      </c>
      <c r="R9" s="47">
        <f>R7/(1+R8)^5</f>
        <v>1986498.1463397813</v>
      </c>
      <c r="X9" s="24" t="s">
        <v>52</v>
      </c>
      <c r="Y9" s="25">
        <f>M23</f>
        <v>9.0832470740914786E-2</v>
      </c>
    </row>
    <row r="10" spans="2:25" ht="17.25" thickBot="1" x14ac:dyDescent="0.35">
      <c r="B10" s="1" t="s">
        <v>3</v>
      </c>
      <c r="C10" s="3">
        <v>151286</v>
      </c>
      <c r="D10" s="3">
        <v>192266</v>
      </c>
      <c r="E10" s="3">
        <v>201471</v>
      </c>
      <c r="F10" s="15">
        <f t="shared" ref="F10:J11" si="3">F7*F37</f>
        <v>230361.48434966881</v>
      </c>
      <c r="G10" s="16">
        <f t="shared" si="3"/>
        <v>248790.40309764235</v>
      </c>
      <c r="H10" s="16">
        <f t="shared" si="3"/>
        <v>261229.92325252449</v>
      </c>
      <c r="I10" s="16">
        <f t="shared" si="3"/>
        <v>269066.8209501002</v>
      </c>
      <c r="J10" s="16">
        <f t="shared" si="3"/>
        <v>277138.82557860325</v>
      </c>
      <c r="Q10" s="24" t="s">
        <v>60</v>
      </c>
      <c r="R10" s="48">
        <f>SUM(F32:J32)</f>
        <v>527347.86652781221</v>
      </c>
      <c r="X10" s="24" t="s">
        <v>59</v>
      </c>
      <c r="Y10" s="46">
        <f>Y8/(1+Y9)^6</f>
        <v>1499120.588201677</v>
      </c>
    </row>
    <row r="11" spans="2:25" x14ac:dyDescent="0.3">
      <c r="B11" s="1" t="s">
        <v>4</v>
      </c>
      <c r="C11" s="3">
        <v>18273</v>
      </c>
      <c r="D11" s="3">
        <v>20715</v>
      </c>
      <c r="E11" s="3">
        <v>22075</v>
      </c>
      <c r="F11" s="15">
        <f t="shared" si="3"/>
        <v>27657.554091830083</v>
      </c>
      <c r="G11" s="16">
        <f t="shared" si="3"/>
        <v>30699.885041931393</v>
      </c>
      <c r="H11" s="16">
        <f t="shared" si="3"/>
        <v>33155.875845285904</v>
      </c>
      <c r="I11" s="16">
        <f t="shared" si="3"/>
        <v>34813.6696375502</v>
      </c>
      <c r="J11" s="16">
        <f t="shared" si="3"/>
        <v>35858.079726676704</v>
      </c>
      <c r="L11" s="74" t="s">
        <v>44</v>
      </c>
      <c r="M11" s="75"/>
      <c r="Q11" s="24" t="s">
        <v>61</v>
      </c>
      <c r="R11" s="30">
        <f>R10+R9</f>
        <v>2513846.0128675937</v>
      </c>
      <c r="X11" s="24" t="s">
        <v>60</v>
      </c>
      <c r="Y11" s="54">
        <f>SUM(F32:J32)</f>
        <v>527347.86652781221</v>
      </c>
    </row>
    <row r="12" spans="2:25" x14ac:dyDescent="0.3">
      <c r="B12" s="1" t="s">
        <v>5</v>
      </c>
      <c r="C12" s="12">
        <f>SUM(C10:C11)</f>
        <v>169559</v>
      </c>
      <c r="D12" s="12">
        <f>SUM(D10:D11)</f>
        <v>212981</v>
      </c>
      <c r="E12" s="12">
        <f t="shared" ref="E12:J12" si="4">SUM(E10:E11)</f>
        <v>223546</v>
      </c>
      <c r="F12" s="17">
        <f t="shared" si="4"/>
        <v>258019.03844149888</v>
      </c>
      <c r="G12" s="12">
        <f t="shared" si="4"/>
        <v>279490.28813957376</v>
      </c>
      <c r="H12" s="12">
        <f t="shared" si="4"/>
        <v>294385.79909781041</v>
      </c>
      <c r="I12" s="12">
        <f t="shared" si="4"/>
        <v>303880.49058765039</v>
      </c>
      <c r="J12" s="12">
        <f t="shared" si="4"/>
        <v>312996.90530527994</v>
      </c>
      <c r="L12" s="24" t="s">
        <v>77</v>
      </c>
      <c r="M12" s="25">
        <v>0.08</v>
      </c>
      <c r="Q12" s="24" t="s">
        <v>62</v>
      </c>
      <c r="R12" s="30">
        <v>23646</v>
      </c>
      <c r="X12" s="24" t="s">
        <v>61</v>
      </c>
      <c r="Y12" s="30">
        <f>Y10+Y11</f>
        <v>2026468.4547294891</v>
      </c>
    </row>
    <row r="13" spans="2:25" x14ac:dyDescent="0.3">
      <c r="B13" s="2" t="s">
        <v>6</v>
      </c>
      <c r="C13" s="4">
        <f>C9-C12</f>
        <v>103956</v>
      </c>
      <c r="D13" s="4">
        <f t="shared" ref="D13:J13" si="5">D9-D12</f>
        <v>152836</v>
      </c>
      <c r="E13" s="4">
        <f t="shared" si="5"/>
        <v>170782</v>
      </c>
      <c r="F13" s="18">
        <f t="shared" si="5"/>
        <v>182028.91155850113</v>
      </c>
      <c r="G13" s="19">
        <f t="shared" si="5"/>
        <v>198433.50966042629</v>
      </c>
      <c r="H13" s="19">
        <f t="shared" si="5"/>
        <v>210400.1216901897</v>
      </c>
      <c r="I13" s="19">
        <f t="shared" si="5"/>
        <v>218184.47965454974</v>
      </c>
      <c r="J13" s="19">
        <f t="shared" si="5"/>
        <v>224730.01404418616</v>
      </c>
      <c r="L13" s="24" t="s">
        <v>45</v>
      </c>
      <c r="M13" s="25">
        <v>3.6659999999999998E-2</v>
      </c>
      <c r="Q13" s="24" t="s">
        <v>63</v>
      </c>
      <c r="R13" s="30">
        <f>-M5</f>
        <v>-120069</v>
      </c>
      <c r="X13" s="24" t="s">
        <v>62</v>
      </c>
      <c r="Y13" s="30">
        <f>R12</f>
        <v>23646</v>
      </c>
    </row>
    <row r="14" spans="2:25" x14ac:dyDescent="0.3">
      <c r="B14" s="1" t="s">
        <v>7</v>
      </c>
      <c r="C14" s="3">
        <v>18752</v>
      </c>
      <c r="D14" s="3">
        <v>21914</v>
      </c>
      <c r="E14" s="3">
        <v>26251</v>
      </c>
      <c r="F14" s="15">
        <f>F39*F9</f>
        <v>28608.260016054264</v>
      </c>
      <c r="G14" s="16">
        <f>G39*G9</f>
        <v>31070.632814725181</v>
      </c>
      <c r="H14" s="16">
        <f>H39*H9</f>
        <v>32816.984772560536</v>
      </c>
      <c r="I14" s="16">
        <f>I39*I9</f>
        <v>33940.324944048698</v>
      </c>
      <c r="J14" s="16">
        <f>J39*J9</f>
        <v>34958.534692370158</v>
      </c>
      <c r="L14" s="24" t="s">
        <v>46</v>
      </c>
      <c r="M14" s="73">
        <v>1.25</v>
      </c>
      <c r="Q14" s="24" t="s">
        <v>64</v>
      </c>
      <c r="R14" s="30">
        <v>0</v>
      </c>
      <c r="X14" s="24" t="s">
        <v>63</v>
      </c>
      <c r="Y14" s="30">
        <f>R13</f>
        <v>-120069</v>
      </c>
    </row>
    <row r="15" spans="2:25" x14ac:dyDescent="0.3">
      <c r="B15" s="1" t="s">
        <v>8</v>
      </c>
      <c r="C15" s="3">
        <v>19916</v>
      </c>
      <c r="D15" s="3">
        <v>21973</v>
      </c>
      <c r="E15" s="3">
        <v>25094</v>
      </c>
      <c r="F15" s="15">
        <f>F9*F40</f>
        <v>28825.773562383769</v>
      </c>
      <c r="G15" s="16">
        <f>G9*G40</f>
        <v>31306.868207106269</v>
      </c>
      <c r="H15" s="16">
        <f>H9*H40</f>
        <v>33066.497980763874</v>
      </c>
      <c r="I15" s="16">
        <f>I9*I40</f>
        <v>34198.37910176444</v>
      </c>
      <c r="J15" s="16">
        <f>J9*J40</f>
        <v>35224.330474817369</v>
      </c>
      <c r="L15" s="24" t="s">
        <v>47</v>
      </c>
      <c r="M15" s="25">
        <f>M13+M14*(M12-M13)</f>
        <v>9.0834999999999999E-2</v>
      </c>
      <c r="Q15" s="24" t="s">
        <v>65</v>
      </c>
      <c r="R15" s="54">
        <v>-11109</v>
      </c>
      <c r="X15" s="24" t="s">
        <v>64</v>
      </c>
      <c r="Y15" s="30">
        <f>R14</f>
        <v>0</v>
      </c>
    </row>
    <row r="16" spans="2:25" ht="17.25" thickBot="1" x14ac:dyDescent="0.35">
      <c r="B16" s="1" t="s">
        <v>9</v>
      </c>
      <c r="C16" s="12">
        <f t="shared" ref="C16:J16" si="6">SUM(C14:C15)-SUM(C48:C51)</f>
        <v>21095</v>
      </c>
      <c r="D16" s="12">
        <f t="shared" si="6"/>
        <v>29618</v>
      </c>
      <c r="E16" s="12">
        <f t="shared" si="6"/>
        <v>30197</v>
      </c>
      <c r="F16" s="17">
        <f t="shared" si="6"/>
        <v>42849.782875440862</v>
      </c>
      <c r="G16" s="12">
        <f t="shared" si="6"/>
        <v>46537.953345166381</v>
      </c>
      <c r="H16" s="12">
        <f t="shared" si="6"/>
        <v>49153.659514480867</v>
      </c>
      <c r="I16" s="12">
        <f t="shared" si="6"/>
        <v>50836.211421395725</v>
      </c>
      <c r="J16" s="12">
        <f t="shared" si="6"/>
        <v>52361.29776403759</v>
      </c>
      <c r="L16" s="28" t="s">
        <v>49</v>
      </c>
      <c r="M16" s="29">
        <v>0.04</v>
      </c>
      <c r="Q16" s="24" t="s">
        <v>67</v>
      </c>
      <c r="R16" s="30">
        <f>R11+SUM(R12:R15)</f>
        <v>2406314.0128675937</v>
      </c>
      <c r="X16" s="24" t="s">
        <v>65</v>
      </c>
      <c r="Y16" s="54">
        <f>R15</f>
        <v>-11109</v>
      </c>
    </row>
    <row r="17" spans="2:25" ht="17.25" thickBot="1" x14ac:dyDescent="0.35">
      <c r="B17" s="1" t="s">
        <v>10</v>
      </c>
      <c r="C17" s="4">
        <f>C13-C16</f>
        <v>82861</v>
      </c>
      <c r="D17" s="4">
        <f t="shared" ref="D17:E17" si="7">D13-D16</f>
        <v>123218</v>
      </c>
      <c r="E17" s="4">
        <f t="shared" si="7"/>
        <v>140585</v>
      </c>
      <c r="F17" s="18">
        <f t="shared" ref="F17" si="8">F13-F16</f>
        <v>139179.12868306026</v>
      </c>
      <c r="G17" s="19">
        <f t="shared" ref="G17" si="9">G13-G16</f>
        <v>151895.55631525992</v>
      </c>
      <c r="H17" s="19">
        <f t="shared" ref="H17" si="10">H13-H16</f>
        <v>161246.46217570885</v>
      </c>
      <c r="I17" s="19">
        <f t="shared" ref="I17" si="11">I13-I16</f>
        <v>167348.26823315403</v>
      </c>
      <c r="J17" s="19">
        <f t="shared" ref="J17" si="12">J13-J16</f>
        <v>172368.71628014857</v>
      </c>
      <c r="Q17" s="24" t="s">
        <v>68</v>
      </c>
      <c r="R17" s="30">
        <f>M7/1000</f>
        <v>16325.819</v>
      </c>
      <c r="X17" s="24" t="s">
        <v>67</v>
      </c>
      <c r="Y17" s="30">
        <f>Y12+SUM(Y13:Y16)</f>
        <v>1918936.4547294891</v>
      </c>
    </row>
    <row r="18" spans="2:25" ht="17.25" thickBot="1" x14ac:dyDescent="0.35">
      <c r="B18" s="1" t="s">
        <v>13</v>
      </c>
      <c r="C18" s="3">
        <f t="shared" ref="C18:E21" si="13">C48</f>
        <v>11056</v>
      </c>
      <c r="D18" s="3">
        <f t="shared" si="13"/>
        <v>11284</v>
      </c>
      <c r="E18" s="3">
        <f t="shared" si="13"/>
        <v>11104</v>
      </c>
      <c r="F18" s="15">
        <f>F41*F9</f>
        <v>14584.250702997168</v>
      </c>
      <c r="G18" s="16">
        <f>G41*G9</f>
        <v>15839.54767666507</v>
      </c>
      <c r="H18" s="16">
        <f>H41*H9</f>
        <v>16729.823238843546</v>
      </c>
      <c r="I18" s="16">
        <f>I41*I9</f>
        <v>17302.492624417413</v>
      </c>
      <c r="J18" s="16">
        <f>J41*J9</f>
        <v>17821.567403149933</v>
      </c>
      <c r="L18" s="74" t="s">
        <v>50</v>
      </c>
      <c r="M18" s="75"/>
      <c r="Q18" s="50" t="s">
        <v>69</v>
      </c>
      <c r="R18" s="51">
        <f>R16/R17</f>
        <v>147.39315760315569</v>
      </c>
      <c r="X18" s="24" t="s">
        <v>68</v>
      </c>
      <c r="Y18" s="55">
        <f>R17</f>
        <v>16325.819</v>
      </c>
    </row>
    <row r="19" spans="2:25" ht="17.25" thickBot="1" x14ac:dyDescent="0.35">
      <c r="B19" s="1" t="s">
        <v>14</v>
      </c>
      <c r="C19" s="3">
        <f t="shared" si="13"/>
        <v>6829</v>
      </c>
      <c r="D19" s="3">
        <f t="shared" si="13"/>
        <v>7906</v>
      </c>
      <c r="E19" s="3">
        <f t="shared" si="13"/>
        <v>9038</v>
      </c>
      <c r="F19" s="20"/>
      <c r="G19" s="21"/>
      <c r="H19" s="21"/>
      <c r="I19" s="21"/>
      <c r="J19" s="21"/>
      <c r="L19" s="24" t="s">
        <v>43</v>
      </c>
      <c r="M19" s="25">
        <f>M9</f>
        <v>4.9754285142391163E-5</v>
      </c>
      <c r="X19" s="50" t="s">
        <v>69</v>
      </c>
      <c r="Y19" s="49">
        <f>Y17/Y18</f>
        <v>117.53998097917716</v>
      </c>
    </row>
    <row r="20" spans="2:25" x14ac:dyDescent="0.3">
      <c r="B20" s="1" t="s">
        <v>15</v>
      </c>
      <c r="C20" s="3">
        <f t="shared" si="13"/>
        <v>-215</v>
      </c>
      <c r="D20" s="3">
        <f t="shared" si="13"/>
        <v>-4774</v>
      </c>
      <c r="E20" s="3">
        <f t="shared" si="13"/>
        <v>895</v>
      </c>
      <c r="F20" s="20"/>
      <c r="G20" s="21"/>
      <c r="H20" s="21"/>
      <c r="I20" s="21"/>
      <c r="J20" s="21"/>
      <c r="L20" s="24" t="s">
        <v>51</v>
      </c>
      <c r="M20" s="25">
        <f>1-M19</f>
        <v>0.99995024571485758</v>
      </c>
    </row>
    <row r="21" spans="2:25" x14ac:dyDescent="0.3">
      <c r="B21" s="1" t="s">
        <v>16</v>
      </c>
      <c r="C21" s="12">
        <f t="shared" si="13"/>
        <v>-97</v>
      </c>
      <c r="D21" s="12">
        <f t="shared" si="13"/>
        <v>-147</v>
      </c>
      <c r="E21" s="12">
        <f t="shared" si="13"/>
        <v>111</v>
      </c>
      <c r="F21" s="22"/>
      <c r="G21" s="14"/>
      <c r="H21" s="14"/>
      <c r="I21" s="14"/>
      <c r="J21" s="14"/>
      <c r="L21" s="24" t="s">
        <v>47</v>
      </c>
      <c r="M21" s="25">
        <f>M15</f>
        <v>9.0834999999999999E-2</v>
      </c>
    </row>
    <row r="22" spans="2:25" x14ac:dyDescent="0.3">
      <c r="B22" s="1" t="s">
        <v>17</v>
      </c>
      <c r="C22" s="4">
        <f>C17-SUM(C18:C21)</f>
        <v>65288</v>
      </c>
      <c r="D22" s="4">
        <f t="shared" ref="D22:E22" si="14">D17-SUM(D18:D21)</f>
        <v>108949</v>
      </c>
      <c r="E22" s="4">
        <f t="shared" si="14"/>
        <v>119437</v>
      </c>
      <c r="F22" s="18">
        <f>F17-F25</f>
        <v>130751.05960425803</v>
      </c>
      <c r="G22" s="19">
        <f t="shared" ref="G22:J22" si="15">G17-G25</f>
        <v>142742.06569619916</v>
      </c>
      <c r="H22" s="19">
        <f t="shared" si="15"/>
        <v>151578.49165020575</v>
      </c>
      <c r="I22" s="19">
        <f t="shared" si="15"/>
        <v>157349.35872153353</v>
      </c>
      <c r="J22" s="19">
        <f t="shared" si="15"/>
        <v>162069.83948317947</v>
      </c>
      <c r="L22" s="56" t="s">
        <v>49</v>
      </c>
      <c r="M22" s="57">
        <v>0.04</v>
      </c>
    </row>
    <row r="23" spans="2:25" ht="17.25" thickBot="1" x14ac:dyDescent="0.35">
      <c r="B23" s="1" t="s">
        <v>19</v>
      </c>
      <c r="C23" s="3">
        <f t="shared" ref="C23:J23" si="16">C22*(1-$I$3)</f>
        <v>54841.919999999998</v>
      </c>
      <c r="D23" s="3">
        <f t="shared" si="16"/>
        <v>91517.16</v>
      </c>
      <c r="E23" s="3">
        <f t="shared" si="16"/>
        <v>100327.08</v>
      </c>
      <c r="F23" s="15">
        <f t="shared" si="16"/>
        <v>109830.89006757674</v>
      </c>
      <c r="G23" s="16">
        <f t="shared" si="16"/>
        <v>119903.33518480729</v>
      </c>
      <c r="H23" s="16">
        <f t="shared" si="16"/>
        <v>127325.93298617282</v>
      </c>
      <c r="I23" s="16">
        <f t="shared" si="16"/>
        <v>132173.46132608815</v>
      </c>
      <c r="J23" s="16">
        <f t="shared" si="16"/>
        <v>136138.66516587074</v>
      </c>
      <c r="L23" s="26" t="s">
        <v>53</v>
      </c>
      <c r="M23" s="27">
        <f>M22*M19+M21*M20</f>
        <v>9.0832470740914786E-2</v>
      </c>
    </row>
    <row r="24" spans="2:25" x14ac:dyDescent="0.3">
      <c r="B24" s="1" t="s">
        <v>20</v>
      </c>
      <c r="C24" s="3">
        <f>C48</f>
        <v>11056</v>
      </c>
      <c r="D24" s="3">
        <f>D48</f>
        <v>11284</v>
      </c>
      <c r="E24" s="3">
        <f>E48</f>
        <v>11104</v>
      </c>
      <c r="F24" s="15">
        <f>F41*F9</f>
        <v>14584.250702997168</v>
      </c>
      <c r="G24" s="16">
        <f>G41*G9</f>
        <v>15839.54767666507</v>
      </c>
      <c r="H24" s="16">
        <f>H41*H9</f>
        <v>16729.823238843546</v>
      </c>
      <c r="I24" s="16">
        <f>I41*I9</f>
        <v>17302.492624417413</v>
      </c>
      <c r="J24" s="16">
        <f>J41*J9</f>
        <v>17821.567403149933</v>
      </c>
    </row>
    <row r="25" spans="2:25" x14ac:dyDescent="0.3">
      <c r="B25" s="1" t="s">
        <v>21</v>
      </c>
      <c r="C25" s="3">
        <f>SUM(C49:C51)</f>
        <v>6517</v>
      </c>
      <c r="D25" s="3">
        <f>SUM(D49:D51)</f>
        <v>2985</v>
      </c>
      <c r="E25" s="3">
        <f>SUM(E49:E51)</f>
        <v>10044</v>
      </c>
      <c r="F25" s="15">
        <f>F43*F9</f>
        <v>8428.0690788022366</v>
      </c>
      <c r="G25" s="16">
        <f>G43*G9</f>
        <v>9153.4906190607471</v>
      </c>
      <c r="H25" s="16">
        <f>H43*H9</f>
        <v>9667.9705255030931</v>
      </c>
      <c r="I25" s="16">
        <f>I43*I9</f>
        <v>9998.909511620488</v>
      </c>
      <c r="J25" s="16">
        <f>J43*J9</f>
        <v>10298.876796969102</v>
      </c>
    </row>
    <row r="26" spans="2:25" x14ac:dyDescent="0.3">
      <c r="B26" s="1" t="s">
        <v>22</v>
      </c>
      <c r="C26" s="3">
        <f>C53</f>
        <v>-7309</v>
      </c>
      <c r="D26" s="3">
        <f>D53</f>
        <v>-11085</v>
      </c>
      <c r="E26" s="3">
        <f>E53</f>
        <v>-10708</v>
      </c>
      <c r="F26" s="15">
        <f>F42*(-F9)</f>
        <v>-12347.683609848453</v>
      </c>
      <c r="G26" s="16">
        <f>G42*(-G9)</f>
        <v>-13410.474574081272</v>
      </c>
      <c r="H26" s="16">
        <f>H42*(-H9)</f>
        <v>-14164.22196852922</v>
      </c>
      <c r="I26" s="16">
        <f>I42*(-I9)</f>
        <v>-14649.069666920695</v>
      </c>
      <c r="J26" s="16">
        <f>J42*(-J9)</f>
        <v>-15088.541756928314</v>
      </c>
    </row>
    <row r="27" spans="2:25" x14ac:dyDescent="0.3">
      <c r="B27" s="1" t="s">
        <v>24</v>
      </c>
      <c r="C27" s="14"/>
      <c r="D27" s="12">
        <f>-D59</f>
        <v>-2822</v>
      </c>
      <c r="E27" s="12">
        <f>-E59</f>
        <v>10100</v>
      </c>
      <c r="F27" s="17">
        <f>F44*F9</f>
        <v>0</v>
      </c>
      <c r="G27" s="12">
        <f>G44*G9</f>
        <v>0</v>
      </c>
      <c r="H27" s="12">
        <f>H44*H9</f>
        <v>0</v>
      </c>
      <c r="I27" s="12">
        <f>I44*I9</f>
        <v>0</v>
      </c>
      <c r="J27" s="12">
        <f>J44*J9</f>
        <v>0</v>
      </c>
    </row>
    <row r="28" spans="2:25" x14ac:dyDescent="0.3">
      <c r="B28" s="1" t="s">
        <v>29</v>
      </c>
      <c r="C28" s="13"/>
      <c r="D28" s="4">
        <f>SUM(D23:D27)</f>
        <v>91879.16</v>
      </c>
      <c r="E28" s="4">
        <f>SUM(E23:E27)</f>
        <v>120867.08</v>
      </c>
      <c r="F28" s="80">
        <f t="shared" ref="F28:J28" si="17">SUM(F23:F27)</f>
        <v>120495.52623952769</v>
      </c>
      <c r="G28" s="19">
        <f t="shared" si="17"/>
        <v>131485.89890645185</v>
      </c>
      <c r="H28" s="19">
        <f t="shared" si="17"/>
        <v>139559.50478199025</v>
      </c>
      <c r="I28" s="19">
        <f t="shared" si="17"/>
        <v>144825.79379520536</v>
      </c>
      <c r="J28" s="19">
        <f t="shared" si="17"/>
        <v>149170.56760906146</v>
      </c>
    </row>
    <row r="29" spans="2:25" x14ac:dyDescent="0.3">
      <c r="F29" s="81"/>
    </row>
    <row r="30" spans="2:25" x14ac:dyDescent="0.3">
      <c r="B30" s="1" t="s">
        <v>54</v>
      </c>
      <c r="C30" s="7" t="s">
        <v>52</v>
      </c>
      <c r="D30" s="8">
        <f>M23</f>
        <v>9.0832470740914786E-2</v>
      </c>
      <c r="F30" s="82">
        <f>1/(1+D30)</f>
        <v>0.91673105341352779</v>
      </c>
      <c r="G30" s="45">
        <f>1/(1+D30)^2</f>
        <v>0.84039582429267634</v>
      </c>
      <c r="H30" s="45">
        <f>1/(1+D30)^3</f>
        <v>0.77041694928815507</v>
      </c>
      <c r="I30" s="45">
        <f>1/(1+D30)^4</f>
        <v>0.70626514148856678</v>
      </c>
      <c r="J30" s="45">
        <f>1/(1+D30)^5</f>
        <v>0.64745518714606809</v>
      </c>
    </row>
    <row r="31" spans="2:25" x14ac:dyDescent="0.3">
      <c r="F31" s="81"/>
    </row>
    <row r="32" spans="2:25" x14ac:dyDescent="0.3">
      <c r="B32" s="2" t="s">
        <v>55</v>
      </c>
      <c r="C32" s="2"/>
      <c r="D32" s="2"/>
      <c r="E32" s="2"/>
      <c r="F32" s="18">
        <f>F30*F28</f>
        <v>110461.9907011796</v>
      </c>
      <c r="G32" s="4">
        <f t="shared" ref="G32:J32" si="18">G30*G28</f>
        <v>110500.20039435112</v>
      </c>
      <c r="H32" s="4">
        <f t="shared" si="18"/>
        <v>107519.00791830663</v>
      </c>
      <c r="I32" s="4">
        <f t="shared" si="18"/>
        <v>102285.40974596472</v>
      </c>
      <c r="J32" s="4">
        <f t="shared" si="18"/>
        <v>96581.257768010095</v>
      </c>
    </row>
    <row r="33" spans="2:14" ht="17.25" thickBot="1" x14ac:dyDescent="0.35"/>
    <row r="34" spans="2:14" x14ac:dyDescent="0.3">
      <c r="B34" s="33" t="s">
        <v>76</v>
      </c>
      <c r="C34" s="63">
        <f>C6</f>
        <v>2020</v>
      </c>
      <c r="D34" s="63">
        <f t="shared" ref="D34:J34" si="19">D6</f>
        <v>2021</v>
      </c>
      <c r="E34" s="64">
        <f t="shared" si="19"/>
        <v>2022</v>
      </c>
      <c r="F34" s="63">
        <f t="shared" si="19"/>
        <v>2023</v>
      </c>
      <c r="G34" s="63">
        <f t="shared" si="19"/>
        <v>2024</v>
      </c>
      <c r="H34" s="63">
        <f t="shared" si="19"/>
        <v>2025</v>
      </c>
      <c r="I34" s="63">
        <f t="shared" si="19"/>
        <v>2026</v>
      </c>
      <c r="J34" s="65">
        <f t="shared" si="19"/>
        <v>2027</v>
      </c>
      <c r="K34" s="11" t="s">
        <v>38</v>
      </c>
    </row>
    <row r="35" spans="2:14" x14ac:dyDescent="0.3">
      <c r="B35" s="24" t="s">
        <v>30</v>
      </c>
      <c r="C35" s="34"/>
      <c r="D35" s="35">
        <f>(D7-C7)/C7</f>
        <v>0.34720743656765435</v>
      </c>
      <c r="E35" s="35">
        <f>(E7-D7)/D7</f>
        <v>6.3239764351428418E-2</v>
      </c>
      <c r="F35" s="66">
        <v>0.11</v>
      </c>
      <c r="G35" s="67">
        <f t="shared" ref="G35:J36" si="20">IF(F35-$K35&gt;$K35,F35-$K35,$K35)</f>
        <v>0.08</v>
      </c>
      <c r="H35" s="67">
        <f t="shared" si="20"/>
        <v>0.05</v>
      </c>
      <c r="I35" s="70">
        <f t="shared" si="20"/>
        <v>0.03</v>
      </c>
      <c r="J35" s="72">
        <f t="shared" si="20"/>
        <v>0.03</v>
      </c>
      <c r="K35" s="10">
        <v>0.03</v>
      </c>
    </row>
    <row r="36" spans="2:14" x14ac:dyDescent="0.3">
      <c r="B36" s="24" t="s">
        <v>31</v>
      </c>
      <c r="C36" s="34"/>
      <c r="D36" s="35">
        <f>(D8-C8)/C8</f>
        <v>0.2967139175257732</v>
      </c>
      <c r="E36" s="35">
        <f>(E8-D8)/D8</f>
        <v>0.14181951041286078</v>
      </c>
      <c r="F36" s="68">
        <v>0.14000000000000001</v>
      </c>
      <c r="G36" s="69">
        <f t="shared" si="20"/>
        <v>0.11000000000000001</v>
      </c>
      <c r="H36" s="69">
        <f t="shared" si="20"/>
        <v>8.0000000000000016E-2</v>
      </c>
      <c r="I36" s="71">
        <f t="shared" si="20"/>
        <v>5.0000000000000017E-2</v>
      </c>
      <c r="J36" s="72">
        <f t="shared" si="20"/>
        <v>0.03</v>
      </c>
      <c r="K36" s="10">
        <v>0.03</v>
      </c>
    </row>
    <row r="37" spans="2:14" x14ac:dyDescent="0.3">
      <c r="B37" s="24" t="s">
        <v>3</v>
      </c>
      <c r="C37" s="35">
        <f t="shared" ref="C37:E38" si="21">C10/C7</f>
        <v>0.68533660706600774</v>
      </c>
      <c r="D37" s="35">
        <f t="shared" si="21"/>
        <v>0.64650696723516432</v>
      </c>
      <c r="E37" s="40">
        <f t="shared" si="21"/>
        <v>0.63716520292600543</v>
      </c>
      <c r="F37" s="36">
        <f t="shared" ref="F37:F43" si="22">AVERAGE(C37:E37)</f>
        <v>0.65633625907572579</v>
      </c>
      <c r="G37" s="36">
        <f t="shared" ref="G37:G44" si="23">F37</f>
        <v>0.65633625907572579</v>
      </c>
      <c r="H37" s="36">
        <f t="shared" ref="H37:J37" si="24">G37</f>
        <v>0.65633625907572579</v>
      </c>
      <c r="I37" s="36">
        <f t="shared" si="24"/>
        <v>0.65633625907572579</v>
      </c>
      <c r="J37" s="25">
        <f t="shared" si="24"/>
        <v>0.65633625907572579</v>
      </c>
      <c r="K37" s="58">
        <v>0</v>
      </c>
    </row>
    <row r="38" spans="2:14" x14ac:dyDescent="0.3">
      <c r="B38" s="24" t="s">
        <v>4</v>
      </c>
      <c r="C38" s="35">
        <f t="shared" si="21"/>
        <v>0.34628941782898726</v>
      </c>
      <c r="D38" s="35">
        <f t="shared" si="21"/>
        <v>0.30274022652539279</v>
      </c>
      <c r="E38" s="40">
        <f t="shared" si="21"/>
        <v>0.28254553366867619</v>
      </c>
      <c r="F38" s="36">
        <f t="shared" si="22"/>
        <v>0.31052505934101876</v>
      </c>
      <c r="G38" s="36">
        <f t="shared" si="23"/>
        <v>0.31052505934101876</v>
      </c>
      <c r="H38" s="36">
        <f t="shared" ref="H38:J38" si="25">G38</f>
        <v>0.31052505934101876</v>
      </c>
      <c r="I38" s="36">
        <f t="shared" si="25"/>
        <v>0.31052505934101876</v>
      </c>
      <c r="J38" s="25">
        <f t="shared" si="25"/>
        <v>0.31052505934101876</v>
      </c>
      <c r="K38" s="58">
        <v>0</v>
      </c>
      <c r="L38" s="3"/>
      <c r="M38" s="3"/>
      <c r="N38" s="3"/>
    </row>
    <row r="39" spans="2:14" x14ac:dyDescent="0.3">
      <c r="B39" s="24" t="s">
        <v>34</v>
      </c>
      <c r="C39" s="35">
        <f>C14/C9</f>
        <v>6.8559311189514291E-2</v>
      </c>
      <c r="D39" s="35">
        <f>D14/D9</f>
        <v>5.9904269074427925E-2</v>
      </c>
      <c r="E39" s="40">
        <f>E14/E9</f>
        <v>6.657148363798665E-2</v>
      </c>
      <c r="F39" s="36">
        <f t="shared" si="22"/>
        <v>6.501168796730962E-2</v>
      </c>
      <c r="G39" s="36">
        <f t="shared" si="23"/>
        <v>6.501168796730962E-2</v>
      </c>
      <c r="H39" s="36">
        <f t="shared" ref="H39:J39" si="26">G39</f>
        <v>6.501168796730962E-2</v>
      </c>
      <c r="I39" s="36">
        <f t="shared" si="26"/>
        <v>6.501168796730962E-2</v>
      </c>
      <c r="J39" s="25">
        <f t="shared" si="26"/>
        <v>6.501168796730962E-2</v>
      </c>
      <c r="K39" s="58">
        <v>0</v>
      </c>
    </row>
    <row r="40" spans="2:14" x14ac:dyDescent="0.3">
      <c r="B40" s="24" t="s">
        <v>35</v>
      </c>
      <c r="C40" s="35">
        <f>C15/C9</f>
        <v>7.2815019285962373E-2</v>
      </c>
      <c r="D40" s="35">
        <f>D15/D9</f>
        <v>6.006555190163388E-2</v>
      </c>
      <c r="E40" s="40">
        <f>E15/E9</f>
        <v>6.3637378020328261E-2</v>
      </c>
      <c r="F40" s="36">
        <f t="shared" si="22"/>
        <v>6.5505983069308174E-2</v>
      </c>
      <c r="G40" s="36">
        <f t="shared" si="23"/>
        <v>6.5505983069308174E-2</v>
      </c>
      <c r="H40" s="36">
        <f t="shared" ref="H40:J41" si="27">G40</f>
        <v>6.5505983069308174E-2</v>
      </c>
      <c r="I40" s="36">
        <f t="shared" si="27"/>
        <v>6.5505983069308174E-2</v>
      </c>
      <c r="J40" s="25">
        <f t="shared" si="27"/>
        <v>6.5505983069308174E-2</v>
      </c>
      <c r="K40" s="58">
        <v>0</v>
      </c>
    </row>
    <row r="41" spans="2:14" x14ac:dyDescent="0.3">
      <c r="B41" s="24" t="s">
        <v>13</v>
      </c>
      <c r="C41" s="35">
        <f>C18/C9</f>
        <v>4.0421914703032739E-2</v>
      </c>
      <c r="D41" s="35">
        <f>D18/D9</f>
        <v>3.084602410494865E-2</v>
      </c>
      <c r="E41" s="40">
        <f>E18/E9</f>
        <v>2.8159298857803657E-2</v>
      </c>
      <c r="F41" s="36">
        <f t="shared" si="22"/>
        <v>3.3142412555261687E-2</v>
      </c>
      <c r="G41" s="36">
        <f t="shared" si="23"/>
        <v>3.3142412555261687E-2</v>
      </c>
      <c r="H41" s="36">
        <f t="shared" si="27"/>
        <v>3.3142412555261687E-2</v>
      </c>
      <c r="I41" s="36">
        <f t="shared" si="27"/>
        <v>3.3142412555261687E-2</v>
      </c>
      <c r="J41" s="25">
        <f t="shared" si="27"/>
        <v>3.3142412555261687E-2</v>
      </c>
      <c r="K41" s="58">
        <v>0</v>
      </c>
    </row>
    <row r="42" spans="2:14" x14ac:dyDescent="0.3">
      <c r="B42" s="24" t="s">
        <v>23</v>
      </c>
      <c r="C42" s="35">
        <f>-C53/C9</f>
        <v>2.6722483227610918E-2</v>
      </c>
      <c r="D42" s="35">
        <f>-D53/D9</f>
        <v>3.0302036264033657E-2</v>
      </c>
      <c r="E42" s="40">
        <f>-E53/E9</f>
        <v>2.7155058732831552E-2</v>
      </c>
      <c r="F42" s="36">
        <f t="shared" si="22"/>
        <v>2.8059859408158708E-2</v>
      </c>
      <c r="G42" s="36">
        <f t="shared" si="23"/>
        <v>2.8059859408158708E-2</v>
      </c>
      <c r="H42" s="36">
        <f t="shared" ref="H42:J42" si="28">G42</f>
        <v>2.8059859408158708E-2</v>
      </c>
      <c r="I42" s="36">
        <f t="shared" si="28"/>
        <v>2.8059859408158708E-2</v>
      </c>
      <c r="J42" s="25">
        <f t="shared" si="28"/>
        <v>2.8059859408158708E-2</v>
      </c>
      <c r="K42" s="58">
        <v>0</v>
      </c>
    </row>
    <row r="43" spans="2:14" x14ac:dyDescent="0.3">
      <c r="B43" s="24" t="s">
        <v>36</v>
      </c>
      <c r="C43" s="35">
        <f>C25/C9</f>
        <v>2.382684679085242E-2</v>
      </c>
      <c r="D43" s="35">
        <f>D25/D9</f>
        <v>8.1598176137248953E-3</v>
      </c>
      <c r="E43" s="40">
        <f>E25/E9</f>
        <v>2.5471181351565196E-2</v>
      </c>
      <c r="F43" s="36">
        <f t="shared" si="22"/>
        <v>1.9152615252047502E-2</v>
      </c>
      <c r="G43" s="36">
        <f t="shared" si="23"/>
        <v>1.9152615252047502E-2</v>
      </c>
      <c r="H43" s="36">
        <f t="shared" ref="H43:J43" si="29">G43</f>
        <v>1.9152615252047502E-2</v>
      </c>
      <c r="I43" s="36">
        <f t="shared" si="29"/>
        <v>1.9152615252047502E-2</v>
      </c>
      <c r="J43" s="25">
        <f t="shared" si="29"/>
        <v>1.9152615252047502E-2</v>
      </c>
      <c r="K43" s="58">
        <v>0</v>
      </c>
    </row>
    <row r="44" spans="2:14" ht="17.25" thickBot="1" x14ac:dyDescent="0.35">
      <c r="B44" s="28" t="s">
        <v>37</v>
      </c>
      <c r="C44" s="37"/>
      <c r="D44" s="38">
        <f>D59/D9</f>
        <v>7.7142396334779414E-3</v>
      </c>
      <c r="E44" s="41">
        <f>E59/E9</f>
        <v>-2.5613195106611756E-2</v>
      </c>
      <c r="F44" s="39">
        <v>0</v>
      </c>
      <c r="G44" s="39">
        <f t="shared" si="23"/>
        <v>0</v>
      </c>
      <c r="H44" s="39">
        <f t="shared" ref="H44:J44" si="30">G44</f>
        <v>0</v>
      </c>
      <c r="I44" s="39">
        <f t="shared" si="30"/>
        <v>0</v>
      </c>
      <c r="J44" s="29">
        <f t="shared" si="30"/>
        <v>0</v>
      </c>
      <c r="K44" s="58">
        <v>0</v>
      </c>
    </row>
    <row r="47" spans="2:14" x14ac:dyDescent="0.3">
      <c r="B47" s="5" t="s">
        <v>12</v>
      </c>
      <c r="C47" s="3"/>
      <c r="D47" s="3"/>
      <c r="E47" s="3"/>
    </row>
    <row r="48" spans="2:14" x14ac:dyDescent="0.3">
      <c r="B48" s="1" t="s">
        <v>13</v>
      </c>
      <c r="C48" s="3">
        <v>11056</v>
      </c>
      <c r="D48" s="3">
        <v>11284</v>
      </c>
      <c r="E48" s="42">
        <v>11104</v>
      </c>
      <c r="F48" s="6">
        <f>F24</f>
        <v>14584.250702997168</v>
      </c>
      <c r="G48" s="6">
        <f>G24</f>
        <v>15839.54767666507</v>
      </c>
      <c r="H48" s="6">
        <f>H24</f>
        <v>16729.823238843546</v>
      </c>
      <c r="I48" s="6">
        <f>I24</f>
        <v>17302.492624417413</v>
      </c>
      <c r="J48" s="6">
        <f>J24</f>
        <v>17821.567403149933</v>
      </c>
    </row>
    <row r="49" spans="2:10" x14ac:dyDescent="0.3">
      <c r="B49" s="1" t="s">
        <v>14</v>
      </c>
      <c r="C49" s="3">
        <v>6829</v>
      </c>
      <c r="D49" s="3">
        <v>7906</v>
      </c>
      <c r="E49" s="42">
        <v>9038</v>
      </c>
      <c r="F49" s="9"/>
      <c r="G49" s="9"/>
      <c r="H49" s="9"/>
      <c r="I49" s="9"/>
      <c r="J49" s="9"/>
    </row>
    <row r="50" spans="2:10" x14ac:dyDescent="0.3">
      <c r="B50" s="1" t="s">
        <v>15</v>
      </c>
      <c r="C50" s="3">
        <v>-215</v>
      </c>
      <c r="D50" s="3">
        <v>-4774</v>
      </c>
      <c r="E50" s="42">
        <v>895</v>
      </c>
      <c r="F50" s="9"/>
      <c r="G50" s="9"/>
      <c r="H50" s="9"/>
      <c r="I50" s="9"/>
      <c r="J50" s="9"/>
    </row>
    <row r="51" spans="2:10" x14ac:dyDescent="0.3">
      <c r="B51" s="1" t="s">
        <v>16</v>
      </c>
      <c r="C51" s="3">
        <v>-97</v>
      </c>
      <c r="D51" s="3">
        <v>-147</v>
      </c>
      <c r="E51" s="42">
        <v>111</v>
      </c>
      <c r="F51" s="9"/>
      <c r="G51" s="9"/>
      <c r="H51" s="9"/>
      <c r="I51" s="9"/>
      <c r="J51" s="9"/>
    </row>
    <row r="52" spans="2:10" x14ac:dyDescent="0.3">
      <c r="E52" s="43"/>
    </row>
    <row r="53" spans="2:10" x14ac:dyDescent="0.3">
      <c r="B53" s="1" t="s">
        <v>23</v>
      </c>
      <c r="C53" s="3">
        <v>-7309</v>
      </c>
      <c r="D53" s="3">
        <v>-11085</v>
      </c>
      <c r="E53" s="42">
        <v>-10708</v>
      </c>
      <c r="F53" s="6">
        <f>F26</f>
        <v>-12347.683609848453</v>
      </c>
      <c r="G53" s="6">
        <f>G26</f>
        <v>-13410.474574081272</v>
      </c>
      <c r="H53" s="6">
        <f>H26</f>
        <v>-14164.22196852922</v>
      </c>
      <c r="I53" s="6">
        <f>I26</f>
        <v>-14649.069666920695</v>
      </c>
      <c r="J53" s="6">
        <f>J26</f>
        <v>-15088.541756928314</v>
      </c>
    </row>
    <row r="54" spans="2:10" x14ac:dyDescent="0.3">
      <c r="E54" s="43"/>
    </row>
    <row r="55" spans="2:10" x14ac:dyDescent="0.3">
      <c r="B55" s="5" t="s">
        <v>11</v>
      </c>
      <c r="E55" s="43"/>
    </row>
    <row r="56" spans="2:10" x14ac:dyDescent="0.3">
      <c r="B56" s="1" t="s">
        <v>25</v>
      </c>
      <c r="C56" s="3">
        <f>16120+4061+21325+11624</f>
        <v>53130</v>
      </c>
      <c r="D56" s="3">
        <f>26278+6580+25228+14111</f>
        <v>72197</v>
      </c>
      <c r="E56" s="42">
        <f>28184+4946+32748+21223</f>
        <v>87101</v>
      </c>
      <c r="F56" s="9"/>
      <c r="G56" s="9"/>
      <c r="H56" s="9"/>
      <c r="I56" s="9"/>
      <c r="J56" s="9"/>
    </row>
    <row r="57" spans="2:10" x14ac:dyDescent="0.3">
      <c r="B57" s="1" t="s">
        <v>26</v>
      </c>
      <c r="C57" s="3">
        <f>42296+42684+6643</f>
        <v>91623</v>
      </c>
      <c r="D57" s="3">
        <f>52763+47493+7612</f>
        <v>107868</v>
      </c>
      <c r="E57" s="42">
        <f>64115+60845+7912</f>
        <v>132872</v>
      </c>
      <c r="F57" s="9"/>
      <c r="G57" s="9"/>
      <c r="H57" s="9"/>
      <c r="I57" s="9"/>
      <c r="J57" s="9"/>
    </row>
    <row r="58" spans="2:10" x14ac:dyDescent="0.3">
      <c r="B58" s="1" t="s">
        <v>27</v>
      </c>
      <c r="C58" s="6">
        <f>C56-C57</f>
        <v>-38493</v>
      </c>
      <c r="D58" s="6">
        <f t="shared" ref="D58:E58" si="31">D56-D57</f>
        <v>-35671</v>
      </c>
      <c r="E58" s="44">
        <f t="shared" si="31"/>
        <v>-45771</v>
      </c>
      <c r="F58" s="9"/>
      <c r="G58" s="9"/>
      <c r="H58" s="9"/>
      <c r="I58" s="9"/>
      <c r="J58" s="9"/>
    </row>
    <row r="59" spans="2:10" x14ac:dyDescent="0.3">
      <c r="B59" s="1" t="s">
        <v>28</v>
      </c>
      <c r="C59" s="9"/>
      <c r="D59" s="6">
        <f>D58-C58</f>
        <v>2822</v>
      </c>
      <c r="E59" s="44">
        <f>E58-D58</f>
        <v>-10100</v>
      </c>
      <c r="F59" s="6">
        <f>F27</f>
        <v>0</v>
      </c>
      <c r="G59" s="6">
        <f>G27</f>
        <v>0</v>
      </c>
      <c r="H59" s="6">
        <f>H27</f>
        <v>0</v>
      </c>
      <c r="I59" s="6">
        <f>I27</f>
        <v>0</v>
      </c>
      <c r="J59" s="6">
        <f>J27</f>
        <v>0</v>
      </c>
    </row>
    <row r="61" spans="2:10" x14ac:dyDescent="0.3">
      <c r="B61" s="5" t="s">
        <v>78</v>
      </c>
      <c r="C61" s="86"/>
      <c r="D61" s="86"/>
      <c r="E61" s="85" t="s">
        <v>79</v>
      </c>
      <c r="F61" s="84">
        <f>F6</f>
        <v>2023</v>
      </c>
      <c r="G61" s="84">
        <f t="shared" ref="G61:J61" si="32">G6</f>
        <v>2024</v>
      </c>
      <c r="H61" s="84">
        <f t="shared" si="32"/>
        <v>2025</v>
      </c>
      <c r="I61" s="84">
        <f t="shared" si="32"/>
        <v>2026</v>
      </c>
      <c r="J61" s="84">
        <f t="shared" si="32"/>
        <v>2027</v>
      </c>
    </row>
    <row r="62" spans="2:10" x14ac:dyDescent="0.3">
      <c r="B62" s="1" t="s">
        <v>29</v>
      </c>
      <c r="C62" s="83"/>
      <c r="F62" s="87">
        <f>F28</f>
        <v>120495.52623952769</v>
      </c>
      <c r="G62" s="87">
        <f t="shared" ref="G62:J62" si="33">G28</f>
        <v>131485.89890645185</v>
      </c>
      <c r="H62" s="87">
        <f t="shared" si="33"/>
        <v>139559.50478199025</v>
      </c>
      <c r="I62" s="87">
        <f t="shared" si="33"/>
        <v>144825.79379520536</v>
      </c>
      <c r="J62" s="87">
        <f t="shared" si="33"/>
        <v>149170.56760906146</v>
      </c>
    </row>
    <row r="64" spans="2:10" x14ac:dyDescent="0.3">
      <c r="B64" s="1" t="s">
        <v>54</v>
      </c>
      <c r="C64" s="7" t="s">
        <v>52</v>
      </c>
      <c r="D64" s="8">
        <f>D30</f>
        <v>9.0832470740914786E-2</v>
      </c>
      <c r="F64" s="45">
        <f>F30</f>
        <v>0.91673105341352779</v>
      </c>
      <c r="G64" s="45">
        <f t="shared" ref="G64:J64" si="34">G30</f>
        <v>0.84039582429267634</v>
      </c>
      <c r="H64" s="45">
        <f t="shared" si="34"/>
        <v>0.77041694928815507</v>
      </c>
      <c r="I64" s="45">
        <f t="shared" si="34"/>
        <v>0.70626514148856678</v>
      </c>
      <c r="J64" s="45">
        <f t="shared" si="34"/>
        <v>0.64745518714606809</v>
      </c>
    </row>
    <row r="66" spans="2:10" x14ac:dyDescent="0.3">
      <c r="B66" s="2" t="s">
        <v>55</v>
      </c>
      <c r="C66" s="2"/>
      <c r="F66" s="87">
        <f>F32</f>
        <v>110461.9907011796</v>
      </c>
      <c r="G66" s="87">
        <f t="shared" ref="G66:J66" si="35">G32</f>
        <v>110500.20039435112</v>
      </c>
      <c r="H66" s="87">
        <f t="shared" si="35"/>
        <v>107519.00791830663</v>
      </c>
      <c r="I66" s="87">
        <f t="shared" si="35"/>
        <v>102285.40974596472</v>
      </c>
      <c r="J66" s="87">
        <f t="shared" si="35"/>
        <v>96581.257768010095</v>
      </c>
    </row>
  </sheetData>
  <mergeCells count="8">
    <mergeCell ref="C5:E5"/>
    <mergeCell ref="L4:M4"/>
    <mergeCell ref="L11:M11"/>
    <mergeCell ref="L18:M18"/>
    <mergeCell ref="Q4:R4"/>
    <mergeCell ref="X4:Y4"/>
    <mergeCell ref="G3:H3"/>
    <mergeCell ref="F5:J5"/>
  </mergeCells>
  <pageMargins left="0.7" right="0.7" top="0.75" bottom="0.75" header="0.3" footer="0.3"/>
  <pageSetup orientation="portrait" r:id="rId1"/>
  <ignoredErrors>
    <ignoredError sqref="C9 C25:E25" formulaRange="1"/>
    <ignoredError sqref="Y17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DCF 12-2-22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Troiano, Dean</dc:creator>
  <cp:lastModifiedBy>Troiano, Dean</cp:lastModifiedBy>
  <cp:lastPrinted>2022-12-04T03:41:23Z</cp:lastPrinted>
  <dcterms:created xsi:type="dcterms:W3CDTF">2022-12-03T02:46:21Z</dcterms:created>
  <dcterms:modified xsi:type="dcterms:W3CDTF">2022-12-04T20:12:06Z</dcterms:modified>
</cp:coreProperties>
</file>